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temp\pf\"/>
    </mc:Choice>
  </mc:AlternateContent>
  <xr:revisionPtr revIDLastSave="0" documentId="13_ncr:1_{B2936B44-ED4D-4B44-99E2-BFA8F2F742BA}" xr6:coauthVersionLast="47" xr6:coauthVersionMax="47" xr10:uidLastSave="{00000000-0000-0000-0000-000000000000}"/>
  <bookViews>
    <workbookView xWindow="57990" yWindow="390" windowWidth="21600" windowHeight="11295" tabRatio="500" xr2:uid="{00000000-000D-0000-FFFF-FFFF00000000}"/>
  </bookViews>
  <sheets>
    <sheet name="Summary" sheetId="1" r:id="rId1"/>
    <sheet name="Assumptions" sheetId="2" r:id="rId2"/>
    <sheet name="Model" sheetId="3" r:id="rId3"/>
    <sheet name="Use of Fund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4" l="1"/>
  <c r="B3" i="4"/>
  <c r="C28" i="3"/>
  <c r="B28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18" i="3"/>
  <c r="E18" i="3"/>
  <c r="D18" i="3"/>
  <c r="C18" i="3"/>
  <c r="B18" i="3"/>
  <c r="F5" i="3"/>
  <c r="E5" i="3"/>
  <c r="D5" i="3"/>
  <c r="C5" i="3"/>
  <c r="B5" i="3"/>
  <c r="F31" i="2"/>
  <c r="E31" i="2"/>
  <c r="D31" i="2"/>
  <c r="C31" i="2"/>
  <c r="B31" i="2"/>
  <c r="F33" i="3" l="1"/>
  <c r="F7" i="1" s="1"/>
  <c r="E33" i="3"/>
  <c r="E7" i="1" s="1"/>
  <c r="D33" i="3"/>
  <c r="D7" i="1" s="1"/>
  <c r="E19" i="3"/>
  <c r="C33" i="3"/>
  <c r="C7" i="1" s="1"/>
  <c r="B33" i="3"/>
  <c r="B7" i="1" s="1"/>
  <c r="D19" i="3"/>
  <c r="C19" i="3"/>
  <c r="B19" i="3"/>
  <c r="F6" i="3"/>
  <c r="F7" i="3" s="1"/>
  <c r="E6" i="3"/>
  <c r="E7" i="3" s="1"/>
  <c r="D6" i="3"/>
  <c r="D7" i="3" s="1"/>
  <c r="B6" i="3"/>
  <c r="B7" i="3" s="1"/>
  <c r="F10" i="3"/>
  <c r="F14" i="3" s="1"/>
  <c r="C6" i="3"/>
  <c r="C7" i="3" s="1"/>
  <c r="C9" i="4"/>
  <c r="C8" i="4"/>
  <c r="C7" i="4"/>
  <c r="C6" i="4"/>
  <c r="F19" i="3"/>
  <c r="C10" i="4"/>
  <c r="F5" i="1"/>
  <c r="E5" i="1"/>
  <c r="D5" i="1"/>
  <c r="C5" i="1"/>
  <c r="B5" i="1"/>
  <c r="C34" i="3" l="1"/>
  <c r="E20" i="3"/>
  <c r="E25" i="3" s="1"/>
  <c r="E11" i="1"/>
  <c r="D11" i="1"/>
  <c r="D20" i="3"/>
  <c r="D25" i="3" s="1"/>
  <c r="C20" i="3"/>
  <c r="C25" i="3" s="1"/>
  <c r="C11" i="1"/>
  <c r="B20" i="3"/>
  <c r="B25" i="3" s="1"/>
  <c r="B11" i="1"/>
  <c r="B9" i="3"/>
  <c r="B10" i="3"/>
  <c r="B14" i="3" s="1"/>
  <c r="C9" i="3"/>
  <c r="C10" i="3"/>
  <c r="C14" i="3" s="1"/>
  <c r="F11" i="1"/>
  <c r="F20" i="3"/>
  <c r="F25" i="3" s="1"/>
  <c r="F34" i="3"/>
  <c r="D34" i="3"/>
  <c r="B34" i="3"/>
  <c r="E10" i="3"/>
  <c r="E14" i="3" s="1"/>
  <c r="D10" i="3"/>
  <c r="D14" i="3" s="1"/>
  <c r="F9" i="3"/>
  <c r="E9" i="3"/>
  <c r="D9" i="3"/>
  <c r="C11" i="4"/>
  <c r="E34" i="3"/>
  <c r="B11" i="3" l="1"/>
  <c r="B13" i="3"/>
  <c r="C11" i="3"/>
  <c r="C13" i="3"/>
  <c r="F13" i="3"/>
  <c r="F11" i="3"/>
  <c r="E13" i="3"/>
  <c r="E11" i="3"/>
  <c r="D13" i="3"/>
  <c r="D11" i="3"/>
  <c r="B35" i="3" l="1"/>
  <c r="B15" i="3"/>
  <c r="B27" i="3" s="1"/>
  <c r="B16" i="3"/>
  <c r="B8" i="1" s="1"/>
  <c r="B6" i="1"/>
  <c r="C35" i="3"/>
  <c r="C15" i="3"/>
  <c r="C27" i="3" s="1"/>
  <c r="C6" i="1"/>
  <c r="F35" i="3"/>
  <c r="F15" i="3"/>
  <c r="F27" i="3" s="1"/>
  <c r="F6" i="1"/>
  <c r="E35" i="3"/>
  <c r="E15" i="3"/>
  <c r="E27" i="3" s="1"/>
  <c r="E6" i="1"/>
  <c r="D35" i="3"/>
  <c r="D15" i="3"/>
  <c r="D27" i="3" s="1"/>
  <c r="D6" i="1"/>
  <c r="D16" i="3" l="1"/>
  <c r="D8" i="1" s="1"/>
  <c r="F16" i="3"/>
  <c r="F8" i="1" s="1"/>
  <c r="B30" i="3"/>
  <c r="B9" i="1"/>
  <c r="B31" i="3"/>
  <c r="B13" i="4" s="1"/>
  <c r="C9" i="1"/>
  <c r="C31" i="3"/>
  <c r="F9" i="1"/>
  <c r="F31" i="3"/>
  <c r="E9" i="1"/>
  <c r="E31" i="3"/>
  <c r="D9" i="1"/>
  <c r="D31" i="3"/>
  <c r="E16" i="3"/>
  <c r="E8" i="1" s="1"/>
  <c r="C16" i="3"/>
  <c r="C8" i="1" s="1"/>
  <c r="C29" i="3" l="1"/>
  <c r="C30" i="3" s="1"/>
  <c r="B10" i="1"/>
  <c r="C10" i="1" l="1"/>
  <c r="D29" i="3"/>
  <c r="D30" i="3" s="1"/>
  <c r="E29" i="3" l="1"/>
  <c r="E30" i="3" s="1"/>
  <c r="D10" i="1"/>
  <c r="E10" i="1" l="1"/>
  <c r="F29" i="3"/>
  <c r="F30" i="3" s="1"/>
  <c r="F10" i="1" s="1"/>
</calcChain>
</file>

<file path=xl/sharedStrings.xml><?xml version="1.0" encoding="utf-8"?>
<sst xmlns="http://schemas.openxmlformats.org/spreadsheetml/2006/main" count="142" uniqueCount="108">
  <si>
    <t>REV.health — Seed Proforma Summary: Lean — $2M seed</t>
  </si>
  <si>
    <t>Ambient-AI-native EMR + integrated RCM for independent primary care (1–5 clinicians)</t>
  </si>
  <si>
    <t>Year</t>
  </si>
  <si>
    <t>2027</t>
  </si>
  <si>
    <t>2028</t>
  </si>
  <si>
    <t>2029</t>
  </si>
  <si>
    <t>2030</t>
  </si>
  <si>
    <t>2031</t>
  </si>
  <si>
    <t>Practices (EOY)</t>
  </si>
  <si>
    <t>Total revenue</t>
  </si>
  <si>
    <t>Exit ARR</t>
  </si>
  <si>
    <t>Gross margin %</t>
  </si>
  <si>
    <t>EBITDA</t>
  </si>
  <si>
    <t>Cash — ending</t>
  </si>
  <si>
    <t>Headcount</t>
  </si>
  <si>
    <t>Key assumptions: $399/provider/mo SaaS + 3.5% of collections RCM (80% attach); $600K avg collections/provider; 2.5 providers/practice.</t>
  </si>
  <si>
    <t>Financing: $2M seed (Q4 2026) + $8M Series A assumed H2 2028. GA launch follows ONC certification (2028).</t>
  </si>
  <si>
    <t>REV.health — 5-Year Proforma: Assumptions (Lean — $2M seed)</t>
  </si>
  <si>
    <t>Blue = input (change for scenarios). All currency USD. Years are calendar 2027–2031.</t>
  </si>
  <si>
    <t>PRICING &amp; REVENUE DRIVERS</t>
  </si>
  <si>
    <t>SaaS price per provider / month</t>
  </si>
  <si>
    <t>Source: Mid-market vs ECW $449–599, Elation ~$300–450 signal (emr-compare data.js)</t>
  </si>
  <si>
    <t>RCM fee (% of collections)</t>
  </si>
  <si>
    <t>Source: Vs athenahealth 4–7%, ECW 2.9% (emr-compare demo notes)</t>
  </si>
  <si>
    <t>Avg annual collections per provider</t>
  </si>
  <si>
    <t>Source: Independent PCP typical collections; conservative end of MGMA range</t>
  </si>
  <si>
    <t>Avg providers per practice</t>
  </si>
  <si>
    <t>Source: Target segment: 1–5 clinician practices (PRD platform-overview)</t>
  </si>
  <si>
    <t>RCM attach rate</t>
  </si>
  <si>
    <t>Source: Share of customers taking RCM in addition to SaaS</t>
  </si>
  <si>
    <t>Year-1 design-partner discount</t>
  </si>
  <si>
    <t>Source: Applies to 2027 revenue only</t>
  </si>
  <si>
    <t>CUSTOMER GROWTH (practices, end of year)</t>
  </si>
  <si>
    <t>2027 = design partners; GA after ONC cert (P3) in 2028</t>
  </si>
  <si>
    <t>COST DRIVERS</t>
  </si>
  <si>
    <t>Hosting + AI inference (% of SaaS revenue)</t>
  </si>
  <si>
    <t>Source: Azure/Cosmos + ambient-scribe inference</t>
  </si>
  <si>
    <t>RCM cost of delivery (% of RCM revenue)</t>
  </si>
  <si>
    <t>Source: Clearinghouse, statements (InstaMed), RCM ops tooling</t>
  </si>
  <si>
    <t>Payroll load factor (benefits + taxes)</t>
  </si>
  <si>
    <t>Source: Standard 25% load</t>
  </si>
  <si>
    <t>Software &amp; tools per head / year</t>
  </si>
  <si>
    <t>Office &amp; misc per head / year</t>
  </si>
  <si>
    <t>HEADCOUNT PLAN (average FTEs during year) &amp; LOADED-BASE SALARY</t>
  </si>
  <si>
    <t>Department</t>
  </si>
  <si>
    <t>Avg salary</t>
  </si>
  <si>
    <t>Engineering</t>
  </si>
  <si>
    <t>Product &amp; Design</t>
  </si>
  <si>
    <t>Clinical &amp; Compliance</t>
  </si>
  <si>
    <t>Sales &amp; Marketing</t>
  </si>
  <si>
    <t>Customer Success &amp; RCM Ops</t>
  </si>
  <si>
    <t>G&amp;A</t>
  </si>
  <si>
    <t>Total headcount</t>
  </si>
  <si>
    <t>OTHER OPERATING EXPENSES ($/year)</t>
  </si>
  <si>
    <t>Item</t>
  </si>
  <si>
    <t>Certification &amp; compliance</t>
  </si>
  <si>
    <t>Source: ONC/Drummond §170.315, Surescripts EPCS, SOC 2, HITRUST i1 (regulatory-matrix.html)</t>
  </si>
  <si>
    <t>Legal, accounting &amp; insurance</t>
  </si>
  <si>
    <t>Marketing programs</t>
  </si>
  <si>
    <t>Travel &amp; events</t>
  </si>
  <si>
    <t>FINANCING</t>
  </si>
  <si>
    <t>Seed round (closes Q4 2026, fuels 2027)</t>
  </si>
  <si>
    <t>Series A (assumed H2 2028)</t>
  </si>
  <si>
    <t>Assumption only — contingent on GA traction</t>
  </si>
  <si>
    <t>REV.health — 5-Year Operating Model (Lean — $2M seed)</t>
  </si>
  <si>
    <t>Year ending Dec 31</t>
  </si>
  <si>
    <t>CUSTOMERS</t>
  </si>
  <si>
    <t>Practices (average)</t>
  </si>
  <si>
    <t>Providers (average)</t>
  </si>
  <si>
    <t>REVENUE</t>
  </si>
  <si>
    <t>SaaS subscription revenue</t>
  </si>
  <si>
    <t>RCM revenue (% of collections)</t>
  </si>
  <si>
    <t>COST OF REVENUE</t>
  </si>
  <si>
    <t>Hosting &amp; AI inference</t>
  </si>
  <si>
    <t>RCM delivery costs</t>
  </si>
  <si>
    <t>Gross profit</t>
  </si>
  <si>
    <t>OPERATING EXPENSES</t>
  </si>
  <si>
    <t>Payroll (loaded)</t>
  </si>
  <si>
    <t>Headcount (avg FTE)</t>
  </si>
  <si>
    <t>Software, tools, office</t>
  </si>
  <si>
    <t>Total operating expenses</t>
  </si>
  <si>
    <t>PROFITABILITY &amp; CASH</t>
  </si>
  <si>
    <t>Financing in</t>
  </si>
  <si>
    <t>0</t>
  </si>
  <si>
    <t>Cash — beginning</t>
  </si>
  <si>
    <t>Avg monthly burn (EBITDA/12)</t>
  </si>
  <si>
    <t>KPIs</t>
  </si>
  <si>
    <t>Exit ARR (EOY run-rate)</t>
  </si>
  <si>
    <t>ACV per practice</t>
  </si>
  <si>
    <t>Revenue per avg provider</t>
  </si>
  <si>
    <t>Use of Funds — Seed Round (Lean — $2M seed)</t>
  </si>
  <si>
    <t>Seed amount</t>
  </si>
  <si>
    <t>Category</t>
  </si>
  <si>
    <t>% of raise</t>
  </si>
  <si>
    <t>Amount</t>
  </si>
  <si>
    <t>What it buys</t>
  </si>
  <si>
    <t>Engineering &amp; product</t>
  </si>
  <si>
    <t>Core team: scheduler solver, ambient scribe, eligibility, RCM core (P0–P1 scope)</t>
  </si>
  <si>
    <t>Regulatory &amp; certification</t>
  </si>
  <si>
    <t>Drummond ONC §170.315 cert, Surescripts EPCS cert, SOC 2 Type I/II, compliance counsel</t>
  </si>
  <si>
    <t>Design partners &amp; GTM</t>
  </si>
  <si>
    <t>Design-partner implementations, clinical advisors, early marketing</t>
  </si>
  <si>
    <t>G&amp;A, legal &amp; insurance</t>
  </si>
  <si>
    <t>Entity, IP, contracts, D&amp;O/cyber insurance, accounting</t>
  </si>
  <si>
    <t>Contingency</t>
  </si>
  <si>
    <t>Buffer for cert timeline slip (9–12 mo critical path per PRD)</t>
  </si>
  <si>
    <t>Total</t>
  </si>
  <si>
    <t>Implied runway: seed ÷ avg 2027 monthly burn 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</si>
</sst>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\-"/>
    <numFmt numFmtId="165" formatCode="\$#,##0;&quot;($&quot;#,##0\);\-"/>
    <numFmt numFmtId="166" formatCode="0.0%;\(0.0%\);\-"/>
    <numFmt numFmtId="167" formatCode="#,##0.0;\(#,##0.0\);\-"/>
    <numFmt numFmtId="168" formatCode="0.0&quot; mo&quot;"/>
  </numFmts>
  <fonts count="13" x14ac:knownFonts="1">
    <font>
      <sz val="11"/>
      <color theme="1"/>
      <name val="Calibri"/>
      <family val="2"/>
      <charset val="1"/>
    </font>
    <font>
      <b/>
      <sz val="16"/>
      <name val="Arial"/>
      <charset val="1"/>
    </font>
    <font>
      <i/>
      <sz val="10"/>
      <color rgb="FF606060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sz val="11"/>
      <color rgb="FF008000"/>
      <name val="Arial"/>
      <charset val="1"/>
    </font>
    <font>
      <b/>
      <sz val="11"/>
      <name val="Arial"/>
      <charset val="1"/>
    </font>
    <font>
      <sz val="9"/>
      <color rgb="FF606060"/>
      <name val="Arial"/>
      <charset val="1"/>
    </font>
    <font>
      <b/>
      <sz val="14"/>
      <name val="Arial"/>
      <charset val="1"/>
    </font>
    <font>
      <i/>
      <sz val="9"/>
      <name val="Arial"/>
      <charset val="1"/>
    </font>
    <font>
      <sz val="11"/>
      <color rgb="FF0000FF"/>
      <name val="Arial"/>
      <charset val="1"/>
    </font>
    <font>
      <sz val="8"/>
      <color rgb="FF808080"/>
      <name val="Arial"/>
      <charset val="1"/>
    </font>
    <font>
      <sz val="9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2F2"/>
        <bgColor rgb="FFCC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B0B0B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4" fillId="0" borderId="0" xfId="0" applyFont="1"/>
    <xf numFmtId="164" fontId="5" fillId="0" borderId="1" xfId="0" applyNumberFormat="1" applyFont="1" applyBorder="1"/>
    <xf numFmtId="0" fontId="6" fillId="0" borderId="0" xfId="0" applyFont="1"/>
    <xf numFmtId="165" fontId="5" fillId="0" borderId="1" xfId="0" applyNumberFormat="1" applyFont="1" applyBorder="1"/>
    <xf numFmtId="166" fontId="5" fillId="0" borderId="1" xfId="0" applyNumberFormat="1" applyFont="1" applyBorder="1"/>
    <xf numFmtId="167" fontId="5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3" borderId="0" xfId="0" applyFont="1" applyFill="1"/>
    <xf numFmtId="0" fontId="0" fillId="3" borderId="0" xfId="0" applyFill="1"/>
    <xf numFmtId="165" fontId="10" fillId="0" borderId="0" xfId="0" applyNumberFormat="1" applyFont="1"/>
    <xf numFmtId="0" fontId="11" fillId="0" borderId="0" xfId="0" applyFont="1"/>
    <xf numFmtId="166" fontId="10" fillId="0" borderId="0" xfId="0" applyNumberFormat="1" applyFont="1"/>
    <xf numFmtId="167" fontId="10" fillId="0" borderId="0" xfId="0" applyNumberFormat="1" applyFont="1"/>
    <xf numFmtId="49" fontId="6" fillId="0" borderId="0" xfId="0" applyNumberFormat="1" applyFont="1" applyAlignment="1">
      <alignment horizontal="center"/>
    </xf>
    <xf numFmtId="164" fontId="10" fillId="0" borderId="0" xfId="0" applyNumberFormat="1" applyFont="1"/>
    <xf numFmtId="2" fontId="10" fillId="0" borderId="0" xfId="0" applyNumberFormat="1" applyFont="1"/>
    <xf numFmtId="167" fontId="6" fillId="0" borderId="0" xfId="0" applyNumberFormat="1" applyFont="1"/>
    <xf numFmtId="165" fontId="10" fillId="4" borderId="0" xfId="0" applyNumberFormat="1" applyFont="1" applyFill="1"/>
    <xf numFmtId="0" fontId="6" fillId="3" borderId="1" xfId="0" applyFont="1" applyFill="1" applyBorder="1"/>
    <xf numFmtId="0" fontId="0" fillId="3" borderId="1" xfId="0" applyFill="1" applyBorder="1"/>
    <xf numFmtId="0" fontId="0" fillId="0" borderId="1" xfId="0" applyBorder="1"/>
    <xf numFmtId="167" fontId="4" fillId="0" borderId="1" xfId="0" applyNumberFormat="1" applyFont="1" applyBorder="1"/>
    <xf numFmtId="165" fontId="4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6" fontId="4" fillId="0" borderId="1" xfId="0" applyNumberFormat="1" applyFont="1" applyBorder="1"/>
    <xf numFmtId="165" fontId="5" fillId="0" borderId="0" xfId="0" applyNumberFormat="1" applyFont="1"/>
    <xf numFmtId="165" fontId="0" fillId="0" borderId="0" xfId="0" applyNumberFormat="1"/>
    <xf numFmtId="0" fontId="12" fillId="0" borderId="0" xfId="0" applyFont="1"/>
    <xf numFmtId="166" fontId="6" fillId="0" borderId="0" xfId="0" applyNumberFormat="1" applyFont="1"/>
    <xf numFmtId="165" fontId="6" fillId="0" borderId="0" xfId="0" applyNumberFormat="1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zoomScaleNormal="100" workbookViewId="0"/>
  </sheetViews>
  <sheetFormatPr defaultColWidth="8.7109375" defaultRowHeight="15" x14ac:dyDescent="0.25"/>
  <cols>
    <col min="1" max="1" width="38" customWidth="1"/>
    <col min="2" max="6" width="13" customWidth="1"/>
  </cols>
  <sheetData>
    <row r="1" spans="1:6" ht="20.25" x14ac:dyDescent="0.3">
      <c r="A1" s="1" t="s">
        <v>0</v>
      </c>
    </row>
    <row r="2" spans="1:6" x14ac:dyDescent="0.25">
      <c r="A2" s="2" t="s">
        <v>1</v>
      </c>
    </row>
    <row r="4" spans="1:6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25">
      <c r="A5" s="5" t="s">
        <v>8</v>
      </c>
      <c r="B5" s="6">
        <f>Model!B5</f>
        <v>3</v>
      </c>
      <c r="C5" s="6">
        <f>Model!C5</f>
        <v>20</v>
      </c>
      <c r="D5" s="6">
        <f>Model!D5</f>
        <v>75</v>
      </c>
      <c r="E5" s="6">
        <f>Model!E5</f>
        <v>200</v>
      </c>
      <c r="F5" s="6">
        <f>Model!F5</f>
        <v>450</v>
      </c>
    </row>
    <row r="6" spans="1:6" x14ac:dyDescent="0.25">
      <c r="A6" s="7" t="s">
        <v>9</v>
      </c>
      <c r="B6" s="8">
        <f>Model!B11</f>
        <v>40477.5</v>
      </c>
      <c r="C6" s="8">
        <f>Model!C11</f>
        <v>620655</v>
      </c>
      <c r="D6" s="8">
        <f>Model!D11</f>
        <v>2563575</v>
      </c>
      <c r="E6" s="8">
        <f>Model!E11</f>
        <v>7420875.0000000009</v>
      </c>
      <c r="F6" s="8">
        <f>Model!F11</f>
        <v>17540250</v>
      </c>
    </row>
    <row r="7" spans="1:6" x14ac:dyDescent="0.25">
      <c r="A7" s="5" t="s">
        <v>10</v>
      </c>
      <c r="B7" s="8">
        <f>Model!B33</f>
        <v>161910</v>
      </c>
      <c r="C7" s="8">
        <f>Model!C33</f>
        <v>1079400</v>
      </c>
      <c r="D7" s="8">
        <f>Model!D33</f>
        <v>4047750</v>
      </c>
      <c r="E7" s="8">
        <f>Model!E33</f>
        <v>10794000</v>
      </c>
      <c r="F7" s="8">
        <f>Model!F33</f>
        <v>24286500</v>
      </c>
    </row>
    <row r="8" spans="1:6" x14ac:dyDescent="0.25">
      <c r="A8" s="5" t="s">
        <v>11</v>
      </c>
      <c r="B8" s="9">
        <f>Model!B16</f>
        <v>0.77217898832684828</v>
      </c>
      <c r="C8" s="9">
        <f>Model!C16</f>
        <v>0.77217898832684828</v>
      </c>
      <c r="D8" s="9">
        <f>Model!D16</f>
        <v>0.77217898832684828</v>
      </c>
      <c r="E8" s="9">
        <f>Model!E16</f>
        <v>0.77217898832684828</v>
      </c>
      <c r="F8" s="9">
        <f>Model!F16</f>
        <v>0.77217898832684828</v>
      </c>
    </row>
    <row r="9" spans="1:6" x14ac:dyDescent="0.25">
      <c r="A9" s="7" t="s">
        <v>12</v>
      </c>
      <c r="B9" s="8">
        <f>Model!B27</f>
        <v>-1886369.125</v>
      </c>
      <c r="C9" s="8">
        <f>Model!C27</f>
        <v>-2701493.25</v>
      </c>
      <c r="D9" s="8">
        <f>Model!D27</f>
        <v>-2967086.25</v>
      </c>
      <c r="E9" s="8">
        <f>Model!E27</f>
        <v>-1902006.2499999991</v>
      </c>
      <c r="F9" s="8">
        <f>Model!F27</f>
        <v>2836087.5</v>
      </c>
    </row>
    <row r="10" spans="1:6" x14ac:dyDescent="0.25">
      <c r="A10" s="5" t="s">
        <v>13</v>
      </c>
      <c r="B10" s="8">
        <f>Model!B30</f>
        <v>113630.875</v>
      </c>
      <c r="C10" s="8">
        <f>Model!C30</f>
        <v>5412137.625</v>
      </c>
      <c r="D10" s="8">
        <f>Model!D30</f>
        <v>2445051.375</v>
      </c>
      <c r="E10" s="8">
        <f>Model!E30</f>
        <v>543045.12500000093</v>
      </c>
      <c r="F10" s="8">
        <f>Model!F30</f>
        <v>3379132.6250000009</v>
      </c>
    </row>
    <row r="11" spans="1:6" x14ac:dyDescent="0.25">
      <c r="A11" s="5" t="s">
        <v>14</v>
      </c>
      <c r="B11" s="10">
        <f>Model!B19</f>
        <v>6</v>
      </c>
      <c r="C11" s="10">
        <f>Model!C19</f>
        <v>11</v>
      </c>
      <c r="D11" s="10">
        <f>Model!D19</f>
        <v>18</v>
      </c>
      <c r="E11" s="10">
        <f>Model!E19</f>
        <v>28</v>
      </c>
      <c r="F11" s="10">
        <f>Model!F19</f>
        <v>40</v>
      </c>
    </row>
    <row r="13" spans="1:6" x14ac:dyDescent="0.25">
      <c r="A13" s="11" t="s">
        <v>15</v>
      </c>
    </row>
    <row r="14" spans="1:6" x14ac:dyDescent="0.25">
      <c r="A14" s="11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showGridLines="0" zoomScaleNormal="100" workbookViewId="0"/>
  </sheetViews>
  <sheetFormatPr defaultColWidth="8.7109375" defaultRowHeight="15" x14ac:dyDescent="0.25"/>
  <cols>
    <col min="1" max="1" width="46" customWidth="1"/>
    <col min="2" max="7" width="13" customWidth="1"/>
    <col min="8" max="8" width="60" customWidth="1"/>
  </cols>
  <sheetData>
    <row r="1" spans="1:8" ht="18" x14ac:dyDescent="0.25">
      <c r="A1" s="12" t="s">
        <v>17</v>
      </c>
    </row>
    <row r="2" spans="1:8" x14ac:dyDescent="0.25">
      <c r="A2" s="13" t="s">
        <v>18</v>
      </c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5"/>
    </row>
    <row r="5" spans="1:8" x14ac:dyDescent="0.25">
      <c r="A5" t="s">
        <v>20</v>
      </c>
      <c r="B5" s="16">
        <v>399</v>
      </c>
      <c r="H5" s="17" t="s">
        <v>21</v>
      </c>
    </row>
    <row r="6" spans="1:8" x14ac:dyDescent="0.25">
      <c r="A6" t="s">
        <v>22</v>
      </c>
      <c r="B6" s="18">
        <v>3.5000000000000003E-2</v>
      </c>
      <c r="H6" s="17" t="s">
        <v>23</v>
      </c>
    </row>
    <row r="7" spans="1:8" x14ac:dyDescent="0.25">
      <c r="A7" t="s">
        <v>24</v>
      </c>
      <c r="B7" s="16">
        <v>600000</v>
      </c>
      <c r="H7" s="17" t="s">
        <v>25</v>
      </c>
    </row>
    <row r="8" spans="1:8" x14ac:dyDescent="0.25">
      <c r="A8" t="s">
        <v>26</v>
      </c>
      <c r="B8" s="19">
        <v>2.5</v>
      </c>
      <c r="H8" s="17" t="s">
        <v>27</v>
      </c>
    </row>
    <row r="9" spans="1:8" x14ac:dyDescent="0.25">
      <c r="A9" t="s">
        <v>28</v>
      </c>
      <c r="B9" s="18">
        <v>0.8</v>
      </c>
      <c r="H9" s="17" t="s">
        <v>29</v>
      </c>
    </row>
    <row r="10" spans="1:8" x14ac:dyDescent="0.25">
      <c r="A10" t="s">
        <v>30</v>
      </c>
      <c r="B10" s="18">
        <v>0.5</v>
      </c>
      <c r="H10" s="17" t="s">
        <v>31</v>
      </c>
    </row>
    <row r="12" spans="1:8" x14ac:dyDescent="0.25">
      <c r="A12" s="14" t="s">
        <v>32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7" t="s">
        <v>2</v>
      </c>
      <c r="B13" s="20" t="s">
        <v>3</v>
      </c>
      <c r="C13" s="20" t="s">
        <v>4</v>
      </c>
      <c r="D13" s="20" t="s">
        <v>5</v>
      </c>
      <c r="E13" s="20" t="s">
        <v>6</v>
      </c>
      <c r="F13" s="20" t="s">
        <v>7</v>
      </c>
    </row>
    <row r="14" spans="1:8" x14ac:dyDescent="0.25">
      <c r="A14" t="s">
        <v>8</v>
      </c>
      <c r="B14" s="21">
        <v>3</v>
      </c>
      <c r="C14" s="21">
        <v>20</v>
      </c>
      <c r="D14" s="21">
        <v>75</v>
      </c>
      <c r="E14" s="21">
        <v>200</v>
      </c>
      <c r="F14" s="21">
        <v>450</v>
      </c>
      <c r="H14" s="17" t="s">
        <v>33</v>
      </c>
    </row>
    <row r="16" spans="1:8" x14ac:dyDescent="0.25">
      <c r="A16" s="14" t="s">
        <v>34</v>
      </c>
      <c r="B16" s="15"/>
      <c r="C16" s="15"/>
      <c r="D16" s="15"/>
      <c r="E16" s="15"/>
      <c r="F16" s="15"/>
      <c r="G16" s="15"/>
      <c r="H16" s="15"/>
    </row>
    <row r="17" spans="1:8" x14ac:dyDescent="0.25">
      <c r="A17" t="s">
        <v>35</v>
      </c>
      <c r="B17" s="18">
        <v>0.15</v>
      </c>
      <c r="H17" s="17" t="s">
        <v>36</v>
      </c>
    </row>
    <row r="18" spans="1:8" x14ac:dyDescent="0.25">
      <c r="A18" t="s">
        <v>37</v>
      </c>
      <c r="B18" s="18">
        <v>0.25</v>
      </c>
      <c r="H18" s="17" t="s">
        <v>38</v>
      </c>
    </row>
    <row r="19" spans="1:8" x14ac:dyDescent="0.25">
      <c r="A19" t="s">
        <v>39</v>
      </c>
      <c r="B19" s="22">
        <v>1.25</v>
      </c>
      <c r="H19" s="17" t="s">
        <v>40</v>
      </c>
    </row>
    <row r="20" spans="1:8" x14ac:dyDescent="0.25">
      <c r="A20" t="s">
        <v>41</v>
      </c>
      <c r="B20" s="16">
        <v>12000</v>
      </c>
    </row>
    <row r="21" spans="1:8" x14ac:dyDescent="0.25">
      <c r="A21" t="s">
        <v>42</v>
      </c>
      <c r="B21" s="16">
        <v>5000</v>
      </c>
    </row>
    <row r="23" spans="1:8" x14ac:dyDescent="0.25">
      <c r="A23" s="14" t="s">
        <v>43</v>
      </c>
      <c r="B23" s="15"/>
      <c r="C23" s="15"/>
      <c r="D23" s="15"/>
      <c r="E23" s="15"/>
      <c r="F23" s="15"/>
      <c r="G23" s="15"/>
      <c r="H23" s="15"/>
    </row>
    <row r="24" spans="1:8" x14ac:dyDescent="0.25">
      <c r="A24" s="7" t="s">
        <v>44</v>
      </c>
      <c r="B24" s="20" t="s">
        <v>3</v>
      </c>
      <c r="C24" s="20" t="s">
        <v>4</v>
      </c>
      <c r="D24" s="20" t="s">
        <v>5</v>
      </c>
      <c r="E24" s="20" t="s">
        <v>6</v>
      </c>
      <c r="F24" s="20" t="s">
        <v>7</v>
      </c>
      <c r="G24" s="7" t="s">
        <v>45</v>
      </c>
    </row>
    <row r="25" spans="1:8" x14ac:dyDescent="0.25">
      <c r="A25" t="s">
        <v>46</v>
      </c>
      <c r="B25" s="19">
        <v>3</v>
      </c>
      <c r="C25" s="19">
        <v>5</v>
      </c>
      <c r="D25" s="19">
        <v>7</v>
      </c>
      <c r="E25" s="19">
        <v>9</v>
      </c>
      <c r="F25" s="19">
        <v>11</v>
      </c>
      <c r="G25" s="16">
        <v>185000</v>
      </c>
    </row>
    <row r="26" spans="1:8" x14ac:dyDescent="0.25">
      <c r="A26" t="s">
        <v>47</v>
      </c>
      <c r="B26" s="19">
        <v>1</v>
      </c>
      <c r="C26" s="19">
        <v>1.5</v>
      </c>
      <c r="D26" s="19">
        <v>2</v>
      </c>
      <c r="E26" s="19">
        <v>3</v>
      </c>
      <c r="F26" s="19">
        <v>3.5</v>
      </c>
      <c r="G26" s="16">
        <v>165000</v>
      </c>
    </row>
    <row r="27" spans="1:8" x14ac:dyDescent="0.25">
      <c r="A27" t="s">
        <v>48</v>
      </c>
      <c r="B27" s="19">
        <v>0.5</v>
      </c>
      <c r="C27" s="19">
        <v>1</v>
      </c>
      <c r="D27" s="19">
        <v>1.5</v>
      </c>
      <c r="E27" s="19">
        <v>2</v>
      </c>
      <c r="F27" s="19">
        <v>2.5</v>
      </c>
      <c r="G27" s="16">
        <v>160000</v>
      </c>
    </row>
    <row r="28" spans="1:8" x14ac:dyDescent="0.25">
      <c r="A28" t="s">
        <v>49</v>
      </c>
      <c r="B28" s="19">
        <v>0.5</v>
      </c>
      <c r="C28" s="19">
        <v>1</v>
      </c>
      <c r="D28" s="19">
        <v>2.5</v>
      </c>
      <c r="E28" s="19">
        <v>5</v>
      </c>
      <c r="F28" s="19">
        <v>8</v>
      </c>
      <c r="G28" s="16">
        <v>140000</v>
      </c>
    </row>
    <row r="29" spans="1:8" x14ac:dyDescent="0.25">
      <c r="A29" t="s">
        <v>50</v>
      </c>
      <c r="B29" s="19">
        <v>0.5</v>
      </c>
      <c r="C29" s="19">
        <v>1.5</v>
      </c>
      <c r="D29" s="19">
        <v>3.5</v>
      </c>
      <c r="E29" s="19">
        <v>7</v>
      </c>
      <c r="F29" s="19">
        <v>12</v>
      </c>
      <c r="G29" s="16">
        <v>75000</v>
      </c>
    </row>
    <row r="30" spans="1:8" x14ac:dyDescent="0.25">
      <c r="A30" t="s">
        <v>51</v>
      </c>
      <c r="B30" s="19">
        <v>0.5</v>
      </c>
      <c r="C30" s="19">
        <v>1</v>
      </c>
      <c r="D30" s="19">
        <v>1.5</v>
      </c>
      <c r="E30" s="19">
        <v>2</v>
      </c>
      <c r="F30" s="19">
        <v>3</v>
      </c>
      <c r="G30" s="16">
        <v>130000</v>
      </c>
    </row>
    <row r="31" spans="1:8" x14ac:dyDescent="0.25">
      <c r="A31" s="7" t="s">
        <v>52</v>
      </c>
      <c r="B31" s="23">
        <f>SUM(B25:B30)</f>
        <v>6</v>
      </c>
      <c r="C31" s="23">
        <f>SUM(C25:C30)</f>
        <v>11</v>
      </c>
      <c r="D31" s="23">
        <f>SUM(D25:D30)</f>
        <v>18</v>
      </c>
      <c r="E31" s="23">
        <f>SUM(E25:E30)</f>
        <v>28</v>
      </c>
      <c r="F31" s="23">
        <f>SUM(F25:F30)</f>
        <v>40</v>
      </c>
    </row>
    <row r="33" spans="1:8" x14ac:dyDescent="0.25">
      <c r="A33" s="14" t="s">
        <v>53</v>
      </c>
      <c r="B33" s="15"/>
      <c r="C33" s="15"/>
      <c r="D33" s="15"/>
      <c r="E33" s="15"/>
      <c r="F33" s="15"/>
      <c r="G33" s="15"/>
      <c r="H33" s="15"/>
    </row>
    <row r="34" spans="1:8" x14ac:dyDescent="0.25">
      <c r="A34" s="7" t="s">
        <v>54</v>
      </c>
      <c r="B34" s="20" t="s">
        <v>3</v>
      </c>
      <c r="C34" s="20" t="s">
        <v>4</v>
      </c>
      <c r="D34" s="20" t="s">
        <v>5</v>
      </c>
      <c r="E34" s="20" t="s">
        <v>6</v>
      </c>
      <c r="F34" s="20" t="s">
        <v>7</v>
      </c>
    </row>
    <row r="35" spans="1:8" x14ac:dyDescent="0.25">
      <c r="A35" t="s">
        <v>55</v>
      </c>
      <c r="B35" s="16">
        <v>350000</v>
      </c>
      <c r="C35" s="16">
        <v>300000</v>
      </c>
      <c r="D35" s="16">
        <v>200000</v>
      </c>
      <c r="E35" s="16">
        <v>250000</v>
      </c>
      <c r="F35" s="16">
        <v>250000</v>
      </c>
      <c r="H35" s="17" t="s">
        <v>56</v>
      </c>
    </row>
    <row r="36" spans="1:8" x14ac:dyDescent="0.25">
      <c r="A36" t="s">
        <v>57</v>
      </c>
      <c r="B36" s="16">
        <v>150000</v>
      </c>
      <c r="C36" s="16">
        <v>200000</v>
      </c>
      <c r="D36" s="16">
        <v>300000</v>
      </c>
      <c r="E36" s="16">
        <v>400000</v>
      </c>
      <c r="F36" s="16">
        <v>500000</v>
      </c>
    </row>
    <row r="37" spans="1:8" x14ac:dyDescent="0.25">
      <c r="A37" t="s">
        <v>58</v>
      </c>
      <c r="B37" s="16">
        <v>50000</v>
      </c>
      <c r="C37" s="16">
        <v>250000</v>
      </c>
      <c r="D37" s="16">
        <v>600000</v>
      </c>
      <c r="E37" s="16">
        <v>1200000</v>
      </c>
      <c r="F37" s="16">
        <v>2000000</v>
      </c>
    </row>
    <row r="38" spans="1:8" x14ac:dyDescent="0.25">
      <c r="A38" t="s">
        <v>59</v>
      </c>
      <c r="B38" s="16">
        <v>50000</v>
      </c>
      <c r="C38" s="16">
        <v>100000</v>
      </c>
      <c r="D38" s="16">
        <v>200000</v>
      </c>
      <c r="E38" s="16">
        <v>350000</v>
      </c>
      <c r="F38" s="16">
        <v>500000</v>
      </c>
    </row>
    <row r="40" spans="1:8" x14ac:dyDescent="0.25">
      <c r="A40" s="14" t="s">
        <v>60</v>
      </c>
      <c r="B40" s="15"/>
      <c r="C40" s="15"/>
      <c r="D40" s="15"/>
      <c r="E40" s="15"/>
      <c r="F40" s="15"/>
      <c r="G40" s="15"/>
      <c r="H40" s="15"/>
    </row>
    <row r="41" spans="1:8" x14ac:dyDescent="0.25">
      <c r="A41" t="s">
        <v>61</v>
      </c>
      <c r="B41" s="24">
        <v>2000000</v>
      </c>
    </row>
    <row r="42" spans="1:8" x14ac:dyDescent="0.25">
      <c r="A42" t="s">
        <v>62</v>
      </c>
      <c r="B42" s="24">
        <v>8000000</v>
      </c>
      <c r="H42" s="17" t="s">
        <v>63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zoomScaleNormal="100" workbookViewId="0"/>
  </sheetViews>
  <sheetFormatPr defaultColWidth="8.7109375" defaultRowHeight="15" x14ac:dyDescent="0.25"/>
  <cols>
    <col min="1" max="1" width="42" customWidth="1"/>
    <col min="2" max="6" width="14" customWidth="1"/>
  </cols>
  <sheetData>
    <row r="1" spans="1:6" ht="18" x14ac:dyDescent="0.25">
      <c r="A1" s="12" t="s">
        <v>64</v>
      </c>
    </row>
    <row r="3" spans="1:6" x14ac:dyDescent="0.25">
      <c r="A3" s="3" t="s">
        <v>65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25">
      <c r="A4" s="25" t="s">
        <v>66</v>
      </c>
      <c r="B4" s="26"/>
      <c r="C4" s="26"/>
      <c r="D4" s="26"/>
      <c r="E4" s="26"/>
      <c r="F4" s="26"/>
    </row>
    <row r="5" spans="1:6" x14ac:dyDescent="0.25">
      <c r="A5" s="27" t="s">
        <v>8</v>
      </c>
      <c r="B5" s="6">
        <f>Assumptions!B14</f>
        <v>3</v>
      </c>
      <c r="C5" s="6">
        <f>Assumptions!C14</f>
        <v>20</v>
      </c>
      <c r="D5" s="6">
        <f>Assumptions!D14</f>
        <v>75</v>
      </c>
      <c r="E5" s="6">
        <f>Assumptions!E14</f>
        <v>200</v>
      </c>
      <c r="F5" s="6">
        <f>Assumptions!F14</f>
        <v>450</v>
      </c>
    </row>
    <row r="6" spans="1:6" x14ac:dyDescent="0.25">
      <c r="A6" s="27" t="s">
        <v>67</v>
      </c>
      <c r="B6" s="28">
        <f>B5/2</f>
        <v>1.5</v>
      </c>
      <c r="C6" s="28">
        <f>(B5+C5)/2</f>
        <v>11.5</v>
      </c>
      <c r="D6" s="28">
        <f>(C5+D5)/2</f>
        <v>47.5</v>
      </c>
      <c r="E6" s="28">
        <f>(D5+E5)/2</f>
        <v>137.5</v>
      </c>
      <c r="F6" s="28">
        <f>(E5+F5)/2</f>
        <v>325</v>
      </c>
    </row>
    <row r="7" spans="1:6" x14ac:dyDescent="0.25">
      <c r="A7" s="27" t="s">
        <v>68</v>
      </c>
      <c r="B7" s="28">
        <f>B6*Assumptions!$B$8</f>
        <v>3.75</v>
      </c>
      <c r="C7" s="28">
        <f>C6*Assumptions!$B$8</f>
        <v>28.75</v>
      </c>
      <c r="D7" s="28">
        <f>D6*Assumptions!$B$8</f>
        <v>118.75</v>
      </c>
      <c r="E7" s="28">
        <f>E6*Assumptions!$B$8</f>
        <v>343.75</v>
      </c>
      <c r="F7" s="28">
        <f>F6*Assumptions!$B$8</f>
        <v>812.5</v>
      </c>
    </row>
    <row r="8" spans="1:6" x14ac:dyDescent="0.25">
      <c r="A8" s="25" t="s">
        <v>69</v>
      </c>
      <c r="B8" s="26"/>
      <c r="C8" s="26"/>
      <c r="D8" s="26"/>
      <c r="E8" s="26"/>
      <c r="F8" s="26"/>
    </row>
    <row r="9" spans="1:6" x14ac:dyDescent="0.25">
      <c r="A9" s="27" t="s">
        <v>70</v>
      </c>
      <c r="B9" s="29">
        <f>B7*Assumptions!$B$5*12*(1-Assumptions!$B$10)</f>
        <v>8977.5</v>
      </c>
      <c r="C9" s="29">
        <f>C7*Assumptions!$B$5*12*1</f>
        <v>137655</v>
      </c>
      <c r="D9" s="29">
        <f>D7*Assumptions!$B$5*12*1</f>
        <v>568575</v>
      </c>
      <c r="E9" s="29">
        <f>E7*Assumptions!$B$5*12*1</f>
        <v>1645875</v>
      </c>
      <c r="F9" s="29">
        <f>F7*Assumptions!$B$5*12*1</f>
        <v>3890250</v>
      </c>
    </row>
    <row r="10" spans="1:6" x14ac:dyDescent="0.25">
      <c r="A10" s="27" t="s">
        <v>71</v>
      </c>
      <c r="B10" s="29">
        <f>B7*Assumptions!$B$9*Assumptions!$B$7*Assumptions!$B$6*(1-Assumptions!$B$10)</f>
        <v>31500.000000000004</v>
      </c>
      <c r="C10" s="29">
        <f>C7*Assumptions!$B$9*Assumptions!$B$7*Assumptions!$B$6*1</f>
        <v>483000.00000000006</v>
      </c>
      <c r="D10" s="29">
        <f>D7*Assumptions!$B$9*Assumptions!$B$7*Assumptions!$B$6*1</f>
        <v>1995000.0000000002</v>
      </c>
      <c r="E10" s="29">
        <f>E7*Assumptions!$B$9*Assumptions!$B$7*Assumptions!$B$6*1</f>
        <v>5775000.0000000009</v>
      </c>
      <c r="F10" s="29">
        <f>F7*Assumptions!$B$9*Assumptions!$B$7*Assumptions!$B$6*1</f>
        <v>13650000.000000002</v>
      </c>
    </row>
    <row r="11" spans="1:6" x14ac:dyDescent="0.25">
      <c r="A11" s="30" t="s">
        <v>9</v>
      </c>
      <c r="B11" s="31">
        <f>B9+B10</f>
        <v>40477.5</v>
      </c>
      <c r="C11" s="31">
        <f>C9+C10</f>
        <v>620655</v>
      </c>
      <c r="D11" s="31">
        <f>D9+D10</f>
        <v>2563575</v>
      </c>
      <c r="E11" s="31">
        <f>E9+E10</f>
        <v>7420875.0000000009</v>
      </c>
      <c r="F11" s="31">
        <f>F9+F10</f>
        <v>17540250</v>
      </c>
    </row>
    <row r="12" spans="1:6" x14ac:dyDescent="0.25">
      <c r="A12" s="25" t="s">
        <v>72</v>
      </c>
      <c r="B12" s="26"/>
      <c r="C12" s="26"/>
      <c r="D12" s="26"/>
      <c r="E12" s="26"/>
      <c r="F12" s="26"/>
    </row>
    <row r="13" spans="1:6" x14ac:dyDescent="0.25">
      <c r="A13" s="27" t="s">
        <v>73</v>
      </c>
      <c r="B13" s="29">
        <f>B9*Assumptions!$B$17</f>
        <v>1346.625</v>
      </c>
      <c r="C13" s="29">
        <f>C9*Assumptions!$B$17</f>
        <v>20648.25</v>
      </c>
      <c r="D13" s="29">
        <f>D9*Assumptions!$B$17</f>
        <v>85286.25</v>
      </c>
      <c r="E13" s="29">
        <f>E9*Assumptions!$B$17</f>
        <v>246881.25</v>
      </c>
      <c r="F13" s="29">
        <f>F9*Assumptions!$B$17</f>
        <v>583537.5</v>
      </c>
    </row>
    <row r="14" spans="1:6" x14ac:dyDescent="0.25">
      <c r="A14" s="27" t="s">
        <v>74</v>
      </c>
      <c r="B14" s="29">
        <f>B10*Assumptions!$B$18</f>
        <v>7875.0000000000009</v>
      </c>
      <c r="C14" s="29">
        <f>C10*Assumptions!$B$18</f>
        <v>120750.00000000001</v>
      </c>
      <c r="D14" s="29">
        <f>D10*Assumptions!$B$18</f>
        <v>498750.00000000006</v>
      </c>
      <c r="E14" s="29">
        <f>E10*Assumptions!$B$18</f>
        <v>1443750.0000000002</v>
      </c>
      <c r="F14" s="29">
        <f>F10*Assumptions!$B$18</f>
        <v>3412500.0000000005</v>
      </c>
    </row>
    <row r="15" spans="1:6" x14ac:dyDescent="0.25">
      <c r="A15" s="30" t="s">
        <v>75</v>
      </c>
      <c r="B15" s="31">
        <f>B11-B13-B14</f>
        <v>31255.875</v>
      </c>
      <c r="C15" s="31">
        <f>C11-C13-C14</f>
        <v>479256.75</v>
      </c>
      <c r="D15" s="31">
        <f>D11-D13-D14</f>
        <v>1979538.75</v>
      </c>
      <c r="E15" s="31">
        <f>E11-E13-E14</f>
        <v>5730243.7500000009</v>
      </c>
      <c r="F15" s="31">
        <f>F11-F13-F14</f>
        <v>13544212.5</v>
      </c>
    </row>
    <row r="16" spans="1:6" x14ac:dyDescent="0.25">
      <c r="A16" s="27" t="s">
        <v>11</v>
      </c>
      <c r="B16" s="32">
        <f>IF(B11=0,0,B15/B11)</f>
        <v>0.77217898832684828</v>
      </c>
      <c r="C16" s="32">
        <f>IF(C11=0,0,C15/C11)</f>
        <v>0.77217898832684828</v>
      </c>
      <c r="D16" s="32">
        <f>IF(D11=0,0,D15/D11)</f>
        <v>0.77217898832684828</v>
      </c>
      <c r="E16" s="32">
        <f>IF(E11=0,0,E15/E11)</f>
        <v>0.77217898832684828</v>
      </c>
      <c r="F16" s="32">
        <f>IF(F11=0,0,F15/F11)</f>
        <v>0.77217898832684828</v>
      </c>
    </row>
    <row r="17" spans="1:6" x14ac:dyDescent="0.25">
      <c r="A17" s="25" t="s">
        <v>76</v>
      </c>
      <c r="B17" s="26"/>
      <c r="C17" s="26"/>
      <c r="D17" s="26"/>
      <c r="E17" s="26"/>
      <c r="F17" s="26"/>
    </row>
    <row r="18" spans="1:6" x14ac:dyDescent="0.25">
      <c r="A18" s="27" t="s">
        <v>77</v>
      </c>
      <c r="B18" s="29">
        <f>(Assumptions!B25*Assumptions!$G$25+Assumptions!B26*Assumptions!$G$26+Assumptions!B27*Assumptions!$G$27+Assumptions!B28*Assumptions!$G$28+Assumptions!B29*Assumptions!$G$29+Assumptions!B30*Assumptions!$G$30)*Assumptions!$B$19</f>
        <v>1215625</v>
      </c>
      <c r="C18" s="29">
        <f>(Assumptions!C25*Assumptions!$G$25+Assumptions!C26*Assumptions!$G$26+Assumptions!C27*Assumptions!$G$27+Assumptions!C28*Assumptions!$G$28+Assumptions!C29*Assumptions!$G$29+Assumptions!C30*Assumptions!$G$30)*Assumptions!$B$19</f>
        <v>2143750</v>
      </c>
      <c r="D18" s="29">
        <f>(Assumptions!D25*Assumptions!$G$25+Assumptions!D26*Assumptions!$G$26+Assumptions!D27*Assumptions!$G$27+Assumptions!D28*Assumptions!$G$28+Assumptions!D29*Assumptions!$G$29+Assumptions!D30*Assumptions!$G$30)*Assumptions!$B$19</f>
        <v>3340625</v>
      </c>
      <c r="E18" s="29">
        <f>(Assumptions!E25*Assumptions!$G$25+Assumptions!E26*Assumptions!$G$26+Assumptions!E27*Assumptions!$G$27+Assumptions!E28*Assumptions!$G$28+Assumptions!E29*Assumptions!$G$29+Assumptions!E30*Assumptions!$G$30)*Assumptions!$B$19</f>
        <v>4956250</v>
      </c>
      <c r="F18" s="29">
        <f>(Assumptions!F25*Assumptions!$G$25+Assumptions!F26*Assumptions!$G$26+Assumptions!F27*Assumptions!$G$27+Assumptions!F28*Assumptions!$G$28+Assumptions!F29*Assumptions!$G$29+Assumptions!F30*Assumptions!$G$30)*Assumptions!$B$19</f>
        <v>6778125</v>
      </c>
    </row>
    <row r="19" spans="1:6" x14ac:dyDescent="0.25">
      <c r="A19" s="27" t="s">
        <v>78</v>
      </c>
      <c r="B19" s="10">
        <f>Assumptions!B31</f>
        <v>6</v>
      </c>
      <c r="C19" s="10">
        <f>Assumptions!C31</f>
        <v>11</v>
      </c>
      <c r="D19" s="10">
        <f>Assumptions!D31</f>
        <v>18</v>
      </c>
      <c r="E19" s="10">
        <f>Assumptions!E31</f>
        <v>28</v>
      </c>
      <c r="F19" s="10">
        <f>Assumptions!F31</f>
        <v>40</v>
      </c>
    </row>
    <row r="20" spans="1:6" x14ac:dyDescent="0.25">
      <c r="A20" s="27" t="s">
        <v>79</v>
      </c>
      <c r="B20" s="29">
        <f>B19*(Assumptions!$B$20+Assumptions!$B$21)</f>
        <v>102000</v>
      </c>
      <c r="C20" s="29">
        <f>C19*(Assumptions!$B$20+Assumptions!$B$21)</f>
        <v>187000</v>
      </c>
      <c r="D20" s="29">
        <f>D19*(Assumptions!$B$20+Assumptions!$B$21)</f>
        <v>306000</v>
      </c>
      <c r="E20" s="29">
        <f>E19*(Assumptions!$B$20+Assumptions!$B$21)</f>
        <v>476000</v>
      </c>
      <c r="F20" s="29">
        <f>F19*(Assumptions!$B$20+Assumptions!$B$21)</f>
        <v>680000</v>
      </c>
    </row>
    <row r="21" spans="1:6" x14ac:dyDescent="0.25">
      <c r="A21" s="27" t="s">
        <v>55</v>
      </c>
      <c r="B21" s="8">
        <f>Assumptions!B35</f>
        <v>350000</v>
      </c>
      <c r="C21" s="8">
        <f>Assumptions!C35</f>
        <v>300000</v>
      </c>
      <c r="D21" s="8">
        <f>Assumptions!D35</f>
        <v>200000</v>
      </c>
      <c r="E21" s="8">
        <f>Assumptions!E35</f>
        <v>250000</v>
      </c>
      <c r="F21" s="8">
        <f>Assumptions!F35</f>
        <v>250000</v>
      </c>
    </row>
    <row r="22" spans="1:6" x14ac:dyDescent="0.25">
      <c r="A22" s="27" t="s">
        <v>57</v>
      </c>
      <c r="B22" s="8">
        <f>Assumptions!B36</f>
        <v>150000</v>
      </c>
      <c r="C22" s="8">
        <f>Assumptions!C36</f>
        <v>200000</v>
      </c>
      <c r="D22" s="8">
        <f>Assumptions!D36</f>
        <v>300000</v>
      </c>
      <c r="E22" s="8">
        <f>Assumptions!E36</f>
        <v>400000</v>
      </c>
      <c r="F22" s="8">
        <f>Assumptions!F36</f>
        <v>500000</v>
      </c>
    </row>
    <row r="23" spans="1:6" x14ac:dyDescent="0.25">
      <c r="A23" s="27" t="s">
        <v>58</v>
      </c>
      <c r="B23" s="8">
        <f>Assumptions!B37</f>
        <v>50000</v>
      </c>
      <c r="C23" s="8">
        <f>Assumptions!C37</f>
        <v>250000</v>
      </c>
      <c r="D23" s="8">
        <f>Assumptions!D37</f>
        <v>600000</v>
      </c>
      <c r="E23" s="8">
        <f>Assumptions!E37</f>
        <v>1200000</v>
      </c>
      <c r="F23" s="8">
        <f>Assumptions!F37</f>
        <v>2000000</v>
      </c>
    </row>
    <row r="24" spans="1:6" x14ac:dyDescent="0.25">
      <c r="A24" s="27" t="s">
        <v>59</v>
      </c>
      <c r="B24" s="8">
        <f>Assumptions!B38</f>
        <v>50000</v>
      </c>
      <c r="C24" s="8">
        <f>Assumptions!C38</f>
        <v>100000</v>
      </c>
      <c r="D24" s="8">
        <f>Assumptions!D38</f>
        <v>200000</v>
      </c>
      <c r="E24" s="8">
        <f>Assumptions!E38</f>
        <v>350000</v>
      </c>
      <c r="F24" s="8">
        <f>Assumptions!F38</f>
        <v>500000</v>
      </c>
    </row>
    <row r="25" spans="1:6" x14ac:dyDescent="0.25">
      <c r="A25" s="30" t="s">
        <v>80</v>
      </c>
      <c r="B25" s="31">
        <f>B18+B20+B21+B22+B23+B24</f>
        <v>1917625</v>
      </c>
      <c r="C25" s="31">
        <f>C18+C20+C21+C22+C23+C24</f>
        <v>3180750</v>
      </c>
      <c r="D25" s="31">
        <f>D18+D20+D21+D22+D23+D24</f>
        <v>4946625</v>
      </c>
      <c r="E25" s="31">
        <f>E18+E20+E21+E22+E23+E24</f>
        <v>7632250</v>
      </c>
      <c r="F25" s="31">
        <f>F18+F20+F21+F22+F23+F24</f>
        <v>10708125</v>
      </c>
    </row>
    <row r="26" spans="1:6" x14ac:dyDescent="0.25">
      <c r="A26" s="25" t="s">
        <v>81</v>
      </c>
      <c r="B26" s="26"/>
      <c r="C26" s="26"/>
      <c r="D26" s="26"/>
      <c r="E26" s="26"/>
      <c r="F26" s="26"/>
    </row>
    <row r="27" spans="1:6" x14ac:dyDescent="0.25">
      <c r="A27" s="30" t="s">
        <v>12</v>
      </c>
      <c r="B27" s="31">
        <f>B15-B25</f>
        <v>-1886369.125</v>
      </c>
      <c r="C27" s="31">
        <f>C15-C25</f>
        <v>-2701493.25</v>
      </c>
      <c r="D27" s="31">
        <f>D15-D25</f>
        <v>-2967086.25</v>
      </c>
      <c r="E27" s="31">
        <f>E15-E25</f>
        <v>-1902006.2499999991</v>
      </c>
      <c r="F27" s="31">
        <f>F15-F25</f>
        <v>2836087.5</v>
      </c>
    </row>
    <row r="28" spans="1:6" x14ac:dyDescent="0.25">
      <c r="A28" s="27" t="s">
        <v>82</v>
      </c>
      <c r="B28" s="8">
        <f>Assumptions!$B$41</f>
        <v>2000000</v>
      </c>
      <c r="C28" s="8">
        <f>Assumptions!$B$42</f>
        <v>8000000</v>
      </c>
      <c r="D28" s="8" t="s">
        <v>83</v>
      </c>
      <c r="E28" s="8" t="s">
        <v>83</v>
      </c>
      <c r="F28" s="8" t="s">
        <v>83</v>
      </c>
    </row>
    <row r="29" spans="1:6" x14ac:dyDescent="0.25">
      <c r="A29" s="27" t="s">
        <v>84</v>
      </c>
      <c r="B29" s="29" t="s">
        <v>83</v>
      </c>
      <c r="C29" s="29">
        <f>B30</f>
        <v>113630.875</v>
      </c>
      <c r="D29" s="29">
        <f>C30</f>
        <v>5412137.625</v>
      </c>
      <c r="E29" s="29">
        <f>D30</f>
        <v>2445051.375</v>
      </c>
      <c r="F29" s="29">
        <f>E30</f>
        <v>543045.12500000093</v>
      </c>
    </row>
    <row r="30" spans="1:6" x14ac:dyDescent="0.25">
      <c r="A30" s="30" t="s">
        <v>13</v>
      </c>
      <c r="B30" s="31">
        <f>B29+B28+B27</f>
        <v>113630.875</v>
      </c>
      <c r="C30" s="31">
        <f>C29+C28+C27</f>
        <v>5412137.625</v>
      </c>
      <c r="D30" s="31">
        <f>D29+D28+D27</f>
        <v>2445051.375</v>
      </c>
      <c r="E30" s="31">
        <f>E29+E28+E27</f>
        <v>543045.12500000093</v>
      </c>
      <c r="F30" s="31">
        <f>F29+F28+F27</f>
        <v>3379132.6250000009</v>
      </c>
    </row>
    <row r="31" spans="1:6" x14ac:dyDescent="0.25">
      <c r="A31" s="27" t="s">
        <v>85</v>
      </c>
      <c r="B31" s="29">
        <f>B27/12</f>
        <v>-157197.42708333334</v>
      </c>
      <c r="C31" s="29">
        <f>C27/12</f>
        <v>-225124.4375</v>
      </c>
      <c r="D31" s="29">
        <f>D27/12</f>
        <v>-247257.1875</v>
      </c>
      <c r="E31" s="29">
        <f>E27/12</f>
        <v>-158500.52083333326</v>
      </c>
      <c r="F31" s="29">
        <f>F27/12</f>
        <v>236340.625</v>
      </c>
    </row>
    <row r="32" spans="1:6" x14ac:dyDescent="0.25">
      <c r="A32" s="25" t="s">
        <v>86</v>
      </c>
      <c r="B32" s="26"/>
      <c r="C32" s="26"/>
      <c r="D32" s="26"/>
      <c r="E32" s="26"/>
      <c r="F32" s="26"/>
    </row>
    <row r="33" spans="1:6" x14ac:dyDescent="0.25">
      <c r="A33" s="27" t="s">
        <v>87</v>
      </c>
      <c r="B33" s="29">
        <f>B5*Assumptions!$B$8*(Assumptions!$B$5*12+Assumptions!$B$9*Assumptions!$B$7*Assumptions!$B$6)</f>
        <v>161910</v>
      </c>
      <c r="C33" s="29">
        <f>C5*Assumptions!$B$8*(Assumptions!$B$5*12+Assumptions!$B$9*Assumptions!$B$7*Assumptions!$B$6)</f>
        <v>1079400</v>
      </c>
      <c r="D33" s="29">
        <f>D5*Assumptions!$B$8*(Assumptions!$B$5*12+Assumptions!$B$9*Assumptions!$B$7*Assumptions!$B$6)</f>
        <v>4047750</v>
      </c>
      <c r="E33" s="29">
        <f>E5*Assumptions!$B$8*(Assumptions!$B$5*12+Assumptions!$B$9*Assumptions!$B$7*Assumptions!$B$6)</f>
        <v>10794000</v>
      </c>
      <c r="F33" s="29">
        <f>F5*Assumptions!$B$8*(Assumptions!$B$5*12+Assumptions!$B$9*Assumptions!$B$7*Assumptions!$B$6)</f>
        <v>24286500</v>
      </c>
    </row>
    <row r="34" spans="1:6" x14ac:dyDescent="0.25">
      <c r="A34" s="27" t="s">
        <v>88</v>
      </c>
      <c r="B34" s="29">
        <f>IF(B5=0,0,B33/B5)</f>
        <v>53970</v>
      </c>
      <c r="C34" s="29">
        <f>IF(C5=0,0,C33/C5)</f>
        <v>53970</v>
      </c>
      <c r="D34" s="29">
        <f>IF(D5=0,0,D33/D5)</f>
        <v>53970</v>
      </c>
      <c r="E34" s="29">
        <f>IF(E5=0,0,E33/E5)</f>
        <v>53970</v>
      </c>
      <c r="F34" s="29">
        <f>IF(F5=0,0,F33/F5)</f>
        <v>53970</v>
      </c>
    </row>
    <row r="35" spans="1:6" x14ac:dyDescent="0.25">
      <c r="A35" s="27" t="s">
        <v>89</v>
      </c>
      <c r="B35" s="29">
        <f>IF(B7=0,0,B11/B7)</f>
        <v>10794</v>
      </c>
      <c r="C35" s="29">
        <f>IF(C7=0,0,C11/C7)</f>
        <v>21588</v>
      </c>
      <c r="D35" s="29">
        <f>IF(D7=0,0,D11/D7)</f>
        <v>21588</v>
      </c>
      <c r="E35" s="29">
        <f>IF(E7=0,0,E11/E7)</f>
        <v>21588.000000000004</v>
      </c>
      <c r="F35" s="29">
        <f>IF(F7=0,0,F11/F7)</f>
        <v>21588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showGridLines="0" zoomScaleNormal="100" workbookViewId="0"/>
  </sheetViews>
  <sheetFormatPr defaultColWidth="8.7109375" defaultRowHeight="15" x14ac:dyDescent="0.25"/>
  <cols>
    <col min="1" max="1" width="40" customWidth="1"/>
    <col min="2" max="2" width="12" customWidth="1"/>
    <col min="3" max="3" width="14" customWidth="1"/>
    <col min="4" max="4" width="64" customWidth="1"/>
  </cols>
  <sheetData>
    <row r="1" spans="1:4" ht="18" x14ac:dyDescent="0.25">
      <c r="A1" s="12" t="s">
        <v>90</v>
      </c>
    </row>
    <row r="3" spans="1:4" x14ac:dyDescent="0.25">
      <c r="A3" s="7" t="s">
        <v>91</v>
      </c>
      <c r="B3" s="33">
        <f>Assumptions!$B$41</f>
        <v>2000000</v>
      </c>
    </row>
    <row r="5" spans="1:4" x14ac:dyDescent="0.25">
      <c r="A5" s="3" t="s">
        <v>92</v>
      </c>
      <c r="B5" s="3" t="s">
        <v>93</v>
      </c>
      <c r="C5" s="3" t="s">
        <v>94</v>
      </c>
      <c r="D5" s="3" t="s">
        <v>95</v>
      </c>
    </row>
    <row r="6" spans="1:4" x14ac:dyDescent="0.25">
      <c r="A6" t="s">
        <v>96</v>
      </c>
      <c r="B6" s="18">
        <v>0.6</v>
      </c>
      <c r="C6" s="34">
        <f>B6*$B$3</f>
        <v>1200000</v>
      </c>
      <c r="D6" s="35" t="s">
        <v>97</v>
      </c>
    </row>
    <row r="7" spans="1:4" x14ac:dyDescent="0.25">
      <c r="A7" t="s">
        <v>98</v>
      </c>
      <c r="B7" s="18">
        <v>0.15</v>
      </c>
      <c r="C7" s="34">
        <f>B7*$B$3</f>
        <v>300000</v>
      </c>
      <c r="D7" s="35" t="s">
        <v>99</v>
      </c>
    </row>
    <row r="8" spans="1:4" x14ac:dyDescent="0.25">
      <c r="A8" t="s">
        <v>100</v>
      </c>
      <c r="B8" s="18">
        <v>0.08</v>
      </c>
      <c r="C8" s="34">
        <f>B8*$B$3</f>
        <v>160000</v>
      </c>
      <c r="D8" s="35" t="s">
        <v>101</v>
      </c>
    </row>
    <row r="9" spans="1:4" x14ac:dyDescent="0.25">
      <c r="A9" t="s">
        <v>102</v>
      </c>
      <c r="B9" s="18">
        <v>7.0000000000000007E-2</v>
      </c>
      <c r="C9" s="34">
        <f>B9*$B$3</f>
        <v>140000</v>
      </c>
      <c r="D9" s="35" t="s">
        <v>103</v>
      </c>
    </row>
    <row r="10" spans="1:4" x14ac:dyDescent="0.25">
      <c r="A10" t="s">
        <v>104</v>
      </c>
      <c r="B10" s="18">
        <v>0.1</v>
      </c>
      <c r="C10" s="34">
        <f>B10*$B$3</f>
        <v>200000</v>
      </c>
      <c r="D10" s="35" t="s">
        <v>105</v>
      </c>
    </row>
    <row r="11" spans="1:4" x14ac:dyDescent="0.25">
      <c r="A11" s="7" t="s">
        <v>106</v>
      </c>
      <c r="B11" s="36">
        <f>SUM(B6:B10)</f>
        <v>0.99999999999999989</v>
      </c>
      <c r="C11" s="37">
        <f>SUM(C6:C10)</f>
        <v>2000000</v>
      </c>
    </row>
    <row r="13" spans="1:4" x14ac:dyDescent="0.25">
      <c r="A13" t="s">
        <v>107</v>
      </c>
      <c r="B13" s="38">
        <f>-$B$3/Model!B31</f>
        <v>12.722854547356949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Assumptions</vt:lpstr>
      <vt:lpstr>Model</vt:lpstr>
      <vt:lpstr>Use of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Jeff Hughes</cp:lastModifiedBy>
  <cp:revision>0</cp:revision>
  <dcterms:created xsi:type="dcterms:W3CDTF">2026-06-10T20:18:04Z</dcterms:created>
  <dcterms:modified xsi:type="dcterms:W3CDTF">2026-06-12T00:17:31Z</dcterms:modified>
  <dc:language>en-US</dc:language>
</cp:coreProperties>
</file>